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amera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3" i="1"/>
  <c r="C63" i="1"/>
  <c r="C62" i="1"/>
  <c r="C65" i="1" s="1"/>
  <c r="C69" i="1"/>
  <c r="C70" i="1" s="1"/>
  <c r="C64" i="1"/>
  <c r="C52" i="1"/>
  <c r="C53" i="1" s="1"/>
  <c r="C45" i="1"/>
  <c r="C46" i="1" s="1"/>
  <c r="D23" i="1"/>
  <c r="D22" i="1"/>
  <c r="D24" i="1" s="1"/>
  <c r="D19" i="1"/>
  <c r="D20" i="1" s="1"/>
  <c r="C19" i="1"/>
  <c r="C20" i="1" s="1"/>
  <c r="D13" i="1"/>
  <c r="D14" i="1" s="1"/>
  <c r="C10" i="1"/>
  <c r="C11" i="1" s="1"/>
  <c r="C12" i="1"/>
  <c r="C8" i="1"/>
  <c r="C9" i="1" s="1"/>
  <c r="C66" i="1"/>
  <c r="C58" i="1"/>
  <c r="C56" i="1"/>
  <c r="C55" i="1"/>
  <c r="C49" i="1"/>
  <c r="C48" i="1"/>
  <c r="C42" i="1"/>
  <c r="C41" i="1"/>
  <c r="C40" i="1"/>
  <c r="C39" i="1"/>
  <c r="C35" i="1"/>
  <c r="D27" i="1"/>
  <c r="D28" i="1" s="1"/>
  <c r="D75" i="1" l="1"/>
  <c r="D77" i="1" s="1"/>
  <c r="F77" i="1" s="1"/>
  <c r="C75" i="1"/>
  <c r="C76" i="1" l="1"/>
  <c r="C77" i="1" s="1"/>
  <c r="E77" i="1" s="1"/>
</calcChain>
</file>

<file path=xl/sharedStrings.xml><?xml version="1.0" encoding="utf-8"?>
<sst xmlns="http://schemas.openxmlformats.org/spreadsheetml/2006/main" count="242" uniqueCount="89">
  <si>
    <t>Account</t>
  </si>
  <si>
    <t>Project</t>
  </si>
  <si>
    <t>Local</t>
  </si>
  <si>
    <t>Regional</t>
  </si>
  <si>
    <t>Program</t>
  </si>
  <si>
    <t>Years</t>
  </si>
  <si>
    <t>Notes</t>
  </si>
  <si>
    <t>Career Pathway Enhancement &amp; Development</t>
  </si>
  <si>
    <t>Professional Development</t>
  </si>
  <si>
    <t>-</t>
  </si>
  <si>
    <t>18-19</t>
  </si>
  <si>
    <t>Conference In State</t>
  </si>
  <si>
    <t>Mileage</t>
  </si>
  <si>
    <t>Contract Services: LinkedIn Learning</t>
  </si>
  <si>
    <t>18-21</t>
  </si>
  <si>
    <t>Program Coordination &amp; Personnel</t>
  </si>
  <si>
    <t>Workforce Director .4FTE</t>
  </si>
  <si>
    <t>Program Services Coordinator .5FTE</t>
  </si>
  <si>
    <t>Program Services Coordinator OT .1FTE</t>
  </si>
  <si>
    <t>Sr. Accounting Technician .1FTE</t>
  </si>
  <si>
    <t>Facilities, Equipment &amp; Software</t>
  </si>
  <si>
    <t>Software for CE Programs</t>
  </si>
  <si>
    <t>6450NC</t>
  </si>
  <si>
    <t>Equipment for CE Programs</t>
  </si>
  <si>
    <t>Curriculum Development</t>
  </si>
  <si>
    <t>Course Development: Updates &amp; Certificate Creation (150 hours)</t>
  </si>
  <si>
    <t>Certificate &amp; Degree Completion</t>
  </si>
  <si>
    <t>089901</t>
  </si>
  <si>
    <t>Enrollment Funnel Analysis: Hanover Research</t>
  </si>
  <si>
    <t>CE Program Marketing</t>
  </si>
  <si>
    <t>Outreach Ambassadors: 430 hours @$14/hr</t>
  </si>
  <si>
    <t>Fringe for Ambassadors</t>
  </si>
  <si>
    <t>Supplies</t>
  </si>
  <si>
    <t>4580C</t>
  </si>
  <si>
    <t>Printing</t>
  </si>
  <si>
    <t>Advertising</t>
  </si>
  <si>
    <t>Contract Services</t>
  </si>
  <si>
    <t>18-20</t>
  </si>
  <si>
    <t>Contract Personnel for Web &amp; Graphic Design</t>
  </si>
  <si>
    <t>Radiologic Technology: Equipment Upgrade</t>
  </si>
  <si>
    <t>Machine Upgrades</t>
  </si>
  <si>
    <t>Extended Warranty</t>
  </si>
  <si>
    <t>Software Upgrades</t>
  </si>
  <si>
    <t>Digital Art &amp; Animation: Equipment Upgrade</t>
  </si>
  <si>
    <t>061400</t>
  </si>
  <si>
    <t xml:space="preserve">Monitors: 3 @$2500/ea </t>
  </si>
  <si>
    <t xml:space="preserve">Monitor Mounts: 3 @$100/ea </t>
  </si>
  <si>
    <t xml:space="preserve">Wacom Tablets: 20 @$349/ea </t>
  </si>
  <si>
    <t>Wacom Replacement Stylus: 10 @$65/ea</t>
  </si>
  <si>
    <t>Contractor Services</t>
  </si>
  <si>
    <t>Digital Art &amp; Animation: Video Game Design Certificate</t>
  </si>
  <si>
    <t>Curriculum Development (250 hours)</t>
  </si>
  <si>
    <t>Fashion Design: Equipment Upgrade</t>
  </si>
  <si>
    <t>Sewing Machines: 2 @$999/ea</t>
  </si>
  <si>
    <t>18-18</t>
  </si>
  <si>
    <t>Serger: 1 @$1200</t>
  </si>
  <si>
    <t>Business Online Academy Program Development</t>
  </si>
  <si>
    <t>Business Lab Development</t>
  </si>
  <si>
    <t>Dell Latitude 7490 Laptops: 40 @$1,913/ea</t>
  </si>
  <si>
    <t>Dell Desktops: 5 @$1500/ea</t>
  </si>
  <si>
    <t>Broadband Upgrade</t>
  </si>
  <si>
    <t>Laptop Carts</t>
  </si>
  <si>
    <t>Teacher Station</t>
  </si>
  <si>
    <t>Audio/Visual Equipment</t>
  </si>
  <si>
    <t>Neurodiagnostic Technology Program Development</t>
  </si>
  <si>
    <t>121200</t>
  </si>
  <si>
    <t>Course Development (40 hrs)</t>
  </si>
  <si>
    <t>Neurodiagnostic EMG machines 3 @ $6000 ea</t>
  </si>
  <si>
    <t>Medical Assisting: Simulation Lab</t>
  </si>
  <si>
    <t>120800</t>
  </si>
  <si>
    <t>Equipment</t>
  </si>
  <si>
    <t>Curriculum Development (150 hours)</t>
  </si>
  <si>
    <t xml:space="preserve">Curriculum Planning and Development </t>
  </si>
  <si>
    <t>Contractor Services: SFSU</t>
  </si>
  <si>
    <t>080200</t>
  </si>
  <si>
    <t>Total Direct Costs</t>
  </si>
  <si>
    <t>Total Indirect Costs</t>
  </si>
  <si>
    <t>N/A</t>
  </si>
  <si>
    <t>Total</t>
  </si>
  <si>
    <t>Fringe for DWD @38%</t>
  </si>
  <si>
    <t>Fringe for PSC @54.25%</t>
  </si>
  <si>
    <t>Fringe @54.25%</t>
  </si>
  <si>
    <t>Fringe @14.25%</t>
  </si>
  <si>
    <t>Instruction: 24 units, 8 classes/54 hrs @$106.59/hr</t>
  </si>
  <si>
    <t>Office Hours 35hrs @$67.74/hr</t>
  </si>
  <si>
    <t>9 units of instruction, 54hrs @4 classes @$106.59</t>
  </si>
  <si>
    <t>Office Hours @$67.74</t>
  </si>
  <si>
    <t>RJV: Education &amp; Human Development Teacher Credential Program</t>
  </si>
  <si>
    <t>050100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</si>
</sst>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Franklin Gothic Book"/>
      <family val="2"/>
    </font>
    <font>
      <sz val="12"/>
      <color rgb="FF000000"/>
      <name val="Franklin Gothic Book"/>
      <family val="2"/>
    </font>
    <font>
      <b/>
      <u/>
      <sz val="12"/>
      <color rgb="FF000000"/>
      <name val="Franklin Gothic Book"/>
      <family val="2"/>
    </font>
    <font>
      <sz val="10"/>
      <color rgb="FF000000"/>
      <name val="Arial"/>
      <family val="2"/>
    </font>
    <font>
      <i/>
      <sz val="12"/>
      <color rgb="FF000000"/>
      <name val="Franklin Gothic Book"/>
      <family val="2"/>
    </font>
    <font>
      <sz val="10"/>
      <color rgb="FF000000"/>
      <name val="Franklin Gothic Book"/>
      <family val="2"/>
    </font>
    <font>
      <sz val="12"/>
      <name val="Franklin Gothic Book"/>
      <family val="2"/>
    </font>
    <font>
      <i/>
      <sz val="12"/>
      <name val="Franklin Gothic Book"/>
      <family val="2"/>
    </font>
    <font>
      <b/>
      <i/>
      <sz val="12"/>
      <color rgb="FF00000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164" fontId="2" fillId="2" borderId="2" xfId="1" applyNumberFormat="1" applyFont="1" applyFill="1" applyBorder="1" applyAlignment="1">
      <alignment horizontal="left"/>
    </xf>
    <xf numFmtId="0" fontId="0" fillId="0" borderId="0" xfId="0" applyFont="1" applyAlignment="1"/>
    <xf numFmtId="0" fontId="3" fillId="0" borderId="3" xfId="0" applyFont="1" applyBorder="1" applyAlignment="1"/>
    <xf numFmtId="0" fontId="2" fillId="3" borderId="4" xfId="0" applyFont="1" applyFill="1" applyBorder="1" applyAlignment="1"/>
    <xf numFmtId="164" fontId="3" fillId="3" borderId="5" xfId="1" applyNumberFormat="1" applyFont="1" applyFill="1" applyBorder="1" applyAlignment="1"/>
    <xf numFmtId="164" fontId="0" fillId="3" borderId="5" xfId="1" applyNumberFormat="1" applyFont="1" applyFill="1" applyBorder="1" applyAlignment="1"/>
    <xf numFmtId="0" fontId="3" fillId="3" borderId="5" xfId="0" applyFont="1" applyFill="1" applyBorder="1" applyAlignment="1">
      <alignment horizontal="right"/>
    </xf>
    <xf numFmtId="0" fontId="3" fillId="3" borderId="6" xfId="0" applyFont="1" applyFill="1" applyBorder="1" applyAlignment="1"/>
    <xf numFmtId="0" fontId="3" fillId="0" borderId="7" xfId="0" applyFont="1" applyBorder="1" applyAlignment="1"/>
    <xf numFmtId="0" fontId="4" fillId="0" borderId="8" xfId="0" applyFont="1" applyBorder="1" applyAlignment="1">
      <alignment horizontal="left" indent="1"/>
    </xf>
    <xf numFmtId="164" fontId="3" fillId="0" borderId="8" xfId="1" applyNumberFormat="1" applyFont="1" applyFill="1" applyBorder="1" applyAlignment="1">
      <alignment horizontal="center"/>
    </xf>
    <xf numFmtId="164" fontId="5" fillId="0" borderId="8" xfId="1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6" fillId="0" borderId="8" xfId="0" applyFont="1" applyBorder="1" applyAlignment="1">
      <alignment horizontal="left" indent="1"/>
    </xf>
    <xf numFmtId="164" fontId="3" fillId="0" borderId="8" xfId="1" applyNumberFormat="1" applyFont="1" applyFill="1" applyBorder="1" applyAlignment="1"/>
    <xf numFmtId="0" fontId="3" fillId="0" borderId="7" xfId="0" applyFont="1" applyFill="1" applyBorder="1" applyAlignment="1"/>
    <xf numFmtId="0" fontId="6" fillId="0" borderId="8" xfId="0" applyFont="1" applyFill="1" applyBorder="1" applyAlignment="1">
      <alignment horizontal="left" indent="1"/>
    </xf>
    <xf numFmtId="0" fontId="4" fillId="0" borderId="8" xfId="0" applyFont="1" applyFill="1" applyBorder="1" applyAlignment="1">
      <alignment horizontal="left" indent="1"/>
    </xf>
    <xf numFmtId="0" fontId="3" fillId="0" borderId="7" xfId="0" applyFont="1" applyFill="1" applyBorder="1" applyAlignment="1">
      <alignment horizontal="right"/>
    </xf>
    <xf numFmtId="0" fontId="2" fillId="3" borderId="9" xfId="0" applyFont="1" applyFill="1" applyBorder="1" applyAlignment="1"/>
    <xf numFmtId="164" fontId="3" fillId="3" borderId="10" xfId="1" applyNumberFormat="1" applyFont="1" applyFill="1" applyBorder="1" applyAlignment="1"/>
    <xf numFmtId="0" fontId="3" fillId="3" borderId="10" xfId="0" applyFont="1" applyFill="1" applyBorder="1" applyAlignment="1">
      <alignment horizontal="right"/>
    </xf>
    <xf numFmtId="0" fontId="3" fillId="3" borderId="9" xfId="0" applyFont="1" applyFill="1" applyBorder="1" applyAlignment="1"/>
    <xf numFmtId="0" fontId="6" fillId="0" borderId="6" xfId="0" applyFont="1" applyBorder="1" applyAlignment="1">
      <alignment horizontal="left" indent="1"/>
    </xf>
    <xf numFmtId="164" fontId="3" fillId="0" borderId="11" xfId="1" applyNumberFormat="1" applyFont="1" applyFill="1" applyBorder="1" applyAlignment="1"/>
    <xf numFmtId="0" fontId="3" fillId="0" borderId="6" xfId="0" applyFont="1" applyFill="1" applyBorder="1" applyAlignment="1"/>
    <xf numFmtId="0" fontId="3" fillId="0" borderId="11" xfId="0" applyFont="1" applyBorder="1" applyAlignment="1">
      <alignment horizontal="right"/>
    </xf>
    <xf numFmtId="0" fontId="2" fillId="3" borderId="11" xfId="0" applyFont="1" applyFill="1" applyBorder="1" applyAlignment="1"/>
    <xf numFmtId="164" fontId="3" fillId="3" borderId="11" xfId="1" applyNumberFormat="1" applyFont="1" applyFill="1" applyBorder="1" applyAlignment="1"/>
    <xf numFmtId="49" fontId="2" fillId="3" borderId="6" xfId="0" applyNumberFormat="1" applyFont="1" applyFill="1" applyBorder="1" applyAlignment="1">
      <alignment horizontal="right"/>
    </xf>
    <xf numFmtId="164" fontId="3" fillId="3" borderId="10" xfId="0" applyNumberFormat="1" applyFont="1" applyFill="1" applyBorder="1" applyAlignment="1">
      <alignment horizontal="right"/>
    </xf>
    <xf numFmtId="49" fontId="3" fillId="0" borderId="7" xfId="0" applyNumberFormat="1" applyFont="1" applyFill="1" applyBorder="1" applyAlignment="1">
      <alignment horizontal="right"/>
    </xf>
    <xf numFmtId="0" fontId="2" fillId="3" borderId="9" xfId="0" applyFont="1" applyFill="1" applyBorder="1" applyAlignment="1">
      <alignment horizontal="left"/>
    </xf>
    <xf numFmtId="0" fontId="3" fillId="0" borderId="7" xfId="0" applyFont="1" applyBorder="1" applyAlignment="1">
      <alignment horizontal="right"/>
    </xf>
    <xf numFmtId="164" fontId="0" fillId="3" borderId="10" xfId="1" applyNumberFormat="1" applyFont="1" applyFill="1" applyBorder="1" applyAlignment="1"/>
    <xf numFmtId="0" fontId="7" fillId="3" borderId="10" xfId="0" applyFont="1" applyFill="1" applyBorder="1" applyAlignment="1">
      <alignment horizontal="right"/>
    </xf>
    <xf numFmtId="164" fontId="3" fillId="3" borderId="10" xfId="1" applyNumberFormat="1" applyFont="1" applyFill="1" applyBorder="1" applyAlignment="1">
      <alignment horizontal="right"/>
    </xf>
    <xf numFmtId="49" fontId="2" fillId="3" borderId="9" xfId="0" applyNumberFormat="1" applyFont="1" applyFill="1" applyBorder="1" applyAlignment="1">
      <alignment horizontal="right"/>
    </xf>
    <xf numFmtId="49" fontId="3" fillId="0" borderId="7" xfId="0" applyNumberFormat="1" applyFont="1" applyBorder="1" applyAlignment="1">
      <alignment horizontal="right"/>
    </xf>
    <xf numFmtId="164" fontId="3" fillId="3" borderId="10" xfId="1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right"/>
    </xf>
    <xf numFmtId="0" fontId="9" fillId="0" borderId="8" xfId="0" applyFont="1" applyBorder="1" applyAlignment="1">
      <alignment horizontal="left" indent="1"/>
    </xf>
    <xf numFmtId="164" fontId="8" fillId="0" borderId="8" xfId="1" applyNumberFormat="1" applyFont="1" applyBorder="1" applyAlignment="1"/>
    <xf numFmtId="164" fontId="3" fillId="0" borderId="7" xfId="1" applyNumberFormat="1" applyFont="1" applyFill="1" applyBorder="1" applyAlignment="1"/>
    <xf numFmtId="164" fontId="3" fillId="0" borderId="0" xfId="1" applyNumberFormat="1" applyFont="1" applyFill="1" applyBorder="1" applyAlignment="1"/>
    <xf numFmtId="0" fontId="3" fillId="0" borderId="0" xfId="0" applyFont="1" applyAlignment="1"/>
    <xf numFmtId="0" fontId="3" fillId="0" borderId="6" xfId="0" applyFont="1" applyBorder="1" applyAlignment="1"/>
    <xf numFmtId="164" fontId="3" fillId="0" borderId="11" xfId="1" applyNumberFormat="1" applyFont="1" applyFill="1" applyBorder="1" applyAlignment="1">
      <alignment horizontal="center"/>
    </xf>
    <xf numFmtId="0" fontId="7" fillId="0" borderId="0" xfId="0" applyFont="1" applyAlignment="1"/>
    <xf numFmtId="0" fontId="10" fillId="4" borderId="7" xfId="0" applyFont="1" applyFill="1" applyBorder="1" applyAlignment="1">
      <alignment horizontal="right"/>
    </xf>
    <xf numFmtId="164" fontId="3" fillId="4" borderId="7" xfId="1" applyNumberFormat="1" applyFont="1" applyFill="1" applyBorder="1" applyAlignment="1"/>
    <xf numFmtId="164" fontId="3" fillId="4" borderId="8" xfId="1" applyNumberFormat="1" applyFont="1" applyFill="1" applyBorder="1" applyAlignment="1"/>
    <xf numFmtId="164" fontId="3" fillId="4" borderId="12" xfId="1" applyNumberFormat="1" applyFont="1" applyFill="1" applyBorder="1" applyAlignment="1"/>
    <xf numFmtId="164" fontId="3" fillId="4" borderId="13" xfId="1" applyNumberFormat="1" applyFont="1" applyFill="1" applyBorder="1" applyAlignment="1">
      <alignment horizontal="right"/>
    </xf>
    <xf numFmtId="0" fontId="2" fillId="4" borderId="6" xfId="0" applyFont="1" applyFill="1" applyBorder="1" applyAlignment="1">
      <alignment horizontal="right"/>
    </xf>
    <xf numFmtId="164" fontId="2" fillId="4" borderId="6" xfId="1" applyNumberFormat="1" applyFont="1" applyFill="1" applyBorder="1" applyAlignment="1"/>
    <xf numFmtId="164" fontId="2" fillId="4" borderId="11" xfId="1" applyNumberFormat="1" applyFont="1" applyFill="1" applyBorder="1" applyAlignment="1"/>
    <xf numFmtId="164" fontId="3" fillId="0" borderId="0" xfId="0" applyNumberFormat="1" applyFont="1" applyAlignment="1"/>
    <xf numFmtId="164" fontId="7" fillId="0" borderId="0" xfId="1" applyNumberFormat="1" applyFont="1" applyFill="1" applyAlignment="1"/>
    <xf numFmtId="164" fontId="0" fillId="0" borderId="0" xfId="1" applyNumberFormat="1" applyFont="1" applyFill="1" applyAlignment="1"/>
    <xf numFmtId="0" fontId="3" fillId="0" borderId="8" xfId="0" applyFont="1" applyFill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164" fontId="3" fillId="0" borderId="0" xfId="1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right"/>
    </xf>
    <xf numFmtId="49" fontId="3" fillId="0" borderId="6" xfId="0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zoomScaleNormal="100" workbookViewId="0">
      <selection activeCell="I25" sqref="I25"/>
    </sheetView>
  </sheetViews>
  <sheetFormatPr defaultRowHeight="15" x14ac:dyDescent="0.25"/>
  <cols>
    <col min="1" max="1" width="10" style="4" bestFit="1" customWidth="1"/>
    <col min="2" max="2" width="76.85546875" style="4" bestFit="1" customWidth="1"/>
    <col min="3" max="4" width="13.85546875" style="62" bestFit="1" customWidth="1"/>
    <col min="5" max="5" width="11.7109375" style="4" customWidth="1"/>
    <col min="6" max="6" width="10.5703125" style="51" bestFit="1" customWidth="1"/>
    <col min="7" max="7" width="26.5703125" style="4" bestFit="1" customWidth="1"/>
    <col min="8" max="8" width="18.140625" style="4" bestFit="1" customWidth="1"/>
    <col min="9" max="16384" width="9.140625" style="4"/>
  </cols>
  <sheetData>
    <row r="1" spans="1:7" ht="17.25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1" t="s">
        <v>6</v>
      </c>
    </row>
    <row r="2" spans="1:7" ht="16.5" x14ac:dyDescent="0.3">
      <c r="A2" s="5"/>
      <c r="B2" s="6" t="s">
        <v>7</v>
      </c>
      <c r="C2" s="7"/>
      <c r="D2" s="8"/>
      <c r="E2" s="6">
        <v>639003</v>
      </c>
      <c r="F2" s="9"/>
      <c r="G2" s="10"/>
    </row>
    <row r="3" spans="1:7" ht="16.5" x14ac:dyDescent="0.3">
      <c r="A3" s="11"/>
      <c r="B3" s="12" t="s">
        <v>8</v>
      </c>
      <c r="C3" s="13" t="s">
        <v>9</v>
      </c>
      <c r="D3" s="14" t="s">
        <v>9</v>
      </c>
      <c r="E3" s="11">
        <v>639003</v>
      </c>
      <c r="F3" s="15" t="s">
        <v>10</v>
      </c>
      <c r="G3" s="11"/>
    </row>
    <row r="4" spans="1:7" ht="16.5" x14ac:dyDescent="0.3">
      <c r="A4" s="11">
        <v>5211</v>
      </c>
      <c r="B4" s="16" t="s">
        <v>11</v>
      </c>
      <c r="C4" s="17">
        <v>6000</v>
      </c>
      <c r="D4" s="14" t="s">
        <v>9</v>
      </c>
      <c r="E4" s="11">
        <v>639003</v>
      </c>
      <c r="F4" s="15" t="s">
        <v>10</v>
      </c>
      <c r="G4" s="11"/>
    </row>
    <row r="5" spans="1:7" ht="16.5" x14ac:dyDescent="0.3">
      <c r="A5" s="11">
        <v>5220</v>
      </c>
      <c r="B5" s="16" t="s">
        <v>12</v>
      </c>
      <c r="C5" s="17">
        <v>1000</v>
      </c>
      <c r="D5" s="14" t="s">
        <v>9</v>
      </c>
      <c r="E5" s="11">
        <v>639003</v>
      </c>
      <c r="F5" s="15" t="s">
        <v>10</v>
      </c>
      <c r="G5" s="11"/>
    </row>
    <row r="6" spans="1:7" ht="16.5" x14ac:dyDescent="0.3">
      <c r="A6" s="11">
        <v>5690</v>
      </c>
      <c r="B6" s="16" t="s">
        <v>13</v>
      </c>
      <c r="C6" s="13">
        <v>37775</v>
      </c>
      <c r="D6" s="17">
        <v>25000</v>
      </c>
      <c r="E6" s="11">
        <v>639003</v>
      </c>
      <c r="F6" s="15" t="s">
        <v>14</v>
      </c>
      <c r="G6" s="11"/>
    </row>
    <row r="7" spans="1:7" ht="16.5" x14ac:dyDescent="0.3">
      <c r="A7" s="11"/>
      <c r="B7" s="12" t="s">
        <v>15</v>
      </c>
      <c r="C7" s="13" t="s">
        <v>9</v>
      </c>
      <c r="D7" s="14" t="s">
        <v>9</v>
      </c>
      <c r="E7" s="11">
        <v>639003</v>
      </c>
      <c r="F7" s="15" t="s">
        <v>10</v>
      </c>
      <c r="G7" s="11"/>
    </row>
    <row r="8" spans="1:7" ht="16.5" x14ac:dyDescent="0.3">
      <c r="A8" s="11">
        <v>1270</v>
      </c>
      <c r="B8" s="16" t="s">
        <v>16</v>
      </c>
      <c r="C8" s="17">
        <f>117512*0.4*1.035</f>
        <v>48649.968000000001</v>
      </c>
      <c r="D8" s="14" t="s">
        <v>9</v>
      </c>
      <c r="E8" s="11">
        <v>639003</v>
      </c>
      <c r="F8" s="15" t="s">
        <v>10</v>
      </c>
      <c r="G8" s="11"/>
    </row>
    <row r="9" spans="1:7" ht="16.5" x14ac:dyDescent="0.3">
      <c r="A9" s="11">
        <v>3801</v>
      </c>
      <c r="B9" s="16" t="s">
        <v>79</v>
      </c>
      <c r="C9" s="17">
        <f>C8*0.38</f>
        <v>18486.987840000002</v>
      </c>
      <c r="D9" s="13" t="s">
        <v>9</v>
      </c>
      <c r="E9" s="11">
        <v>639003</v>
      </c>
      <c r="F9" s="15" t="s">
        <v>10</v>
      </c>
      <c r="G9" s="11"/>
    </row>
    <row r="10" spans="1:7" ht="16.5" x14ac:dyDescent="0.3">
      <c r="A10" s="11">
        <v>2130</v>
      </c>
      <c r="B10" s="16" t="s">
        <v>17</v>
      </c>
      <c r="C10" s="17">
        <f>66305*0.5*1.02</f>
        <v>33815.550000000003</v>
      </c>
      <c r="D10" s="13" t="s">
        <v>9</v>
      </c>
      <c r="E10" s="11">
        <v>639003</v>
      </c>
      <c r="F10" s="15" t="s">
        <v>10</v>
      </c>
      <c r="G10" s="11"/>
    </row>
    <row r="11" spans="1:7" ht="16.5" x14ac:dyDescent="0.3">
      <c r="A11" s="11">
        <v>3801</v>
      </c>
      <c r="B11" s="16" t="s">
        <v>80</v>
      </c>
      <c r="C11" s="17">
        <f>C10*0.5425</f>
        <v>18344.935874999999</v>
      </c>
      <c r="D11" s="13" t="s">
        <v>9</v>
      </c>
      <c r="E11" s="11">
        <v>639003</v>
      </c>
      <c r="F11" s="15" t="s">
        <v>10</v>
      </c>
      <c r="G11" s="11"/>
    </row>
    <row r="12" spans="1:7" ht="16.5" x14ac:dyDescent="0.3">
      <c r="A12" s="18">
        <v>2341</v>
      </c>
      <c r="B12" s="19" t="s">
        <v>18</v>
      </c>
      <c r="C12" s="17">
        <f>66305*0.1*1.02</f>
        <v>6763.11</v>
      </c>
      <c r="D12" s="13" t="s">
        <v>9</v>
      </c>
      <c r="E12" s="18">
        <v>639003</v>
      </c>
      <c r="F12" s="63" t="s">
        <v>10</v>
      </c>
      <c r="G12" s="18"/>
    </row>
    <row r="13" spans="1:7" ht="16.5" x14ac:dyDescent="0.3">
      <c r="A13" s="18">
        <v>2130</v>
      </c>
      <c r="B13" s="19" t="s">
        <v>19</v>
      </c>
      <c r="C13" s="13" t="s">
        <v>9</v>
      </c>
      <c r="D13" s="17">
        <f>65760*0.1*1.02</f>
        <v>6707.52</v>
      </c>
      <c r="E13" s="11">
        <v>639003</v>
      </c>
      <c r="F13" s="15" t="s">
        <v>10</v>
      </c>
      <c r="G13" s="11"/>
    </row>
    <row r="14" spans="1:7" ht="16.5" x14ac:dyDescent="0.3">
      <c r="A14" s="18">
        <v>3801</v>
      </c>
      <c r="B14" s="19" t="s">
        <v>81</v>
      </c>
      <c r="C14" s="13" t="s">
        <v>9</v>
      </c>
      <c r="D14" s="17">
        <f>D13*0.5425</f>
        <v>3638.8296</v>
      </c>
      <c r="E14" s="11">
        <v>639003</v>
      </c>
      <c r="F14" s="15" t="s">
        <v>10</v>
      </c>
      <c r="G14" s="11"/>
    </row>
    <row r="15" spans="1:7" ht="16.5" x14ac:dyDescent="0.3">
      <c r="A15" s="18"/>
      <c r="B15" s="20" t="s">
        <v>20</v>
      </c>
      <c r="C15" s="13" t="s">
        <v>9</v>
      </c>
      <c r="D15" s="13" t="s">
        <v>9</v>
      </c>
      <c r="E15" s="11">
        <v>639003</v>
      </c>
      <c r="F15" s="15" t="s">
        <v>10</v>
      </c>
      <c r="G15" s="11"/>
    </row>
    <row r="16" spans="1:7" ht="16.5" x14ac:dyDescent="0.3">
      <c r="A16" s="18">
        <v>5621</v>
      </c>
      <c r="B16" s="19" t="s">
        <v>21</v>
      </c>
      <c r="C16" s="13" t="s">
        <v>9</v>
      </c>
      <c r="D16" s="17">
        <v>10000</v>
      </c>
      <c r="E16" s="11">
        <v>639003</v>
      </c>
      <c r="F16" s="15" t="s">
        <v>10</v>
      </c>
      <c r="G16" s="11"/>
    </row>
    <row r="17" spans="1:7" ht="16.5" x14ac:dyDescent="0.3">
      <c r="A17" s="21" t="s">
        <v>22</v>
      </c>
      <c r="B17" s="19" t="s">
        <v>23</v>
      </c>
      <c r="C17" s="13" t="s">
        <v>9</v>
      </c>
      <c r="D17" s="17">
        <v>50000</v>
      </c>
      <c r="E17" s="11">
        <v>639003</v>
      </c>
      <c r="F17" s="15" t="s">
        <v>10</v>
      </c>
      <c r="G17" s="11"/>
    </row>
    <row r="18" spans="1:7" ht="16.5" x14ac:dyDescent="0.3">
      <c r="A18" s="11"/>
      <c r="B18" s="22" t="s">
        <v>24</v>
      </c>
      <c r="C18" s="23"/>
      <c r="D18" s="23"/>
      <c r="E18" s="22">
        <v>602000</v>
      </c>
      <c r="F18" s="24"/>
      <c r="G18" s="25"/>
    </row>
    <row r="19" spans="1:7" ht="16.5" x14ac:dyDescent="0.3">
      <c r="A19" s="11">
        <v>1495</v>
      </c>
      <c r="B19" s="16" t="s">
        <v>25</v>
      </c>
      <c r="C19" s="17">
        <f>50*66.25*1.02</f>
        <v>3378.75</v>
      </c>
      <c r="D19" s="17">
        <f>100*66.25*1.02</f>
        <v>6757.5</v>
      </c>
      <c r="E19" s="18">
        <v>602000</v>
      </c>
      <c r="F19" s="15" t="s">
        <v>10</v>
      </c>
      <c r="G19" s="11"/>
    </row>
    <row r="20" spans="1:7" ht="16.5" x14ac:dyDescent="0.3">
      <c r="A20" s="11">
        <v>3802</v>
      </c>
      <c r="B20" s="26" t="s">
        <v>82</v>
      </c>
      <c r="C20" s="27">
        <f>C19*0.1425</f>
        <v>481.47187499999995</v>
      </c>
      <c r="D20" s="27">
        <f>D19*0.1425</f>
        <v>962.94374999999991</v>
      </c>
      <c r="E20" s="28">
        <v>602000</v>
      </c>
      <c r="F20" s="29" t="s">
        <v>10</v>
      </c>
      <c r="G20" s="11"/>
    </row>
    <row r="21" spans="1:7" ht="16.5" x14ac:dyDescent="0.3">
      <c r="A21" s="11"/>
      <c r="B21" s="30" t="s">
        <v>26</v>
      </c>
      <c r="C21" s="31"/>
      <c r="D21" s="31"/>
      <c r="E21" s="32" t="s">
        <v>27</v>
      </c>
      <c r="F21" s="33"/>
      <c r="G21" s="25"/>
    </row>
    <row r="22" spans="1:7" ht="16.5" x14ac:dyDescent="0.3">
      <c r="A22" s="11">
        <v>1310</v>
      </c>
      <c r="B22" s="16" t="s">
        <v>83</v>
      </c>
      <c r="C22" s="13" t="s">
        <v>9</v>
      </c>
      <c r="D22" s="17">
        <f>54*8*106.59*1.02</f>
        <v>46967.817600000002</v>
      </c>
      <c r="E22" s="34" t="s">
        <v>27</v>
      </c>
      <c r="F22" s="15" t="s">
        <v>10</v>
      </c>
      <c r="G22" s="11"/>
    </row>
    <row r="23" spans="1:7" ht="16.5" x14ac:dyDescent="0.3">
      <c r="A23" s="11">
        <v>1390</v>
      </c>
      <c r="B23" s="16" t="s">
        <v>84</v>
      </c>
      <c r="C23" s="13" t="s">
        <v>9</v>
      </c>
      <c r="D23" s="17">
        <f>(35)*67.74*3*1.02</f>
        <v>7254.9539999999988</v>
      </c>
      <c r="E23" s="34" t="s">
        <v>27</v>
      </c>
      <c r="F23" s="15" t="s">
        <v>10</v>
      </c>
      <c r="G23" s="11"/>
    </row>
    <row r="24" spans="1:7" ht="16.5" x14ac:dyDescent="0.3">
      <c r="A24" s="11">
        <v>3802</v>
      </c>
      <c r="B24" s="16" t="s">
        <v>82</v>
      </c>
      <c r="C24" s="13" t="s">
        <v>9</v>
      </c>
      <c r="D24" s="17">
        <f>SUM(D22:D23)*0.1425</f>
        <v>7726.7449529999994</v>
      </c>
      <c r="E24" s="34" t="s">
        <v>27</v>
      </c>
      <c r="F24" s="15" t="s">
        <v>10</v>
      </c>
      <c r="G24" s="11"/>
    </row>
    <row r="25" spans="1:7" ht="16.5" x14ac:dyDescent="0.3">
      <c r="A25" s="11">
        <v>5690</v>
      </c>
      <c r="B25" s="16" t="s">
        <v>28</v>
      </c>
      <c r="C25" s="17">
        <v>35000</v>
      </c>
      <c r="D25" s="13" t="s">
        <v>9</v>
      </c>
      <c r="E25" s="34" t="s">
        <v>27</v>
      </c>
      <c r="F25" s="15" t="s">
        <v>10</v>
      </c>
      <c r="G25" s="11"/>
    </row>
    <row r="26" spans="1:7" ht="16.5" x14ac:dyDescent="0.3">
      <c r="A26" s="11"/>
      <c r="B26" s="35" t="s">
        <v>29</v>
      </c>
      <c r="C26" s="23"/>
      <c r="D26" s="23"/>
      <c r="E26" s="22">
        <v>623003</v>
      </c>
      <c r="F26" s="24"/>
      <c r="G26" s="25"/>
    </row>
    <row r="27" spans="1:7" ht="16.5" x14ac:dyDescent="0.3">
      <c r="A27" s="11">
        <v>2392</v>
      </c>
      <c r="B27" s="16" t="s">
        <v>30</v>
      </c>
      <c r="C27" s="13" t="s">
        <v>9</v>
      </c>
      <c r="D27" s="17">
        <f>430*14</f>
        <v>6020</v>
      </c>
      <c r="E27" s="18">
        <v>623003</v>
      </c>
      <c r="F27" s="15" t="s">
        <v>10</v>
      </c>
      <c r="G27" s="11"/>
    </row>
    <row r="28" spans="1:7" ht="16.5" x14ac:dyDescent="0.3">
      <c r="A28" s="11">
        <v>3802</v>
      </c>
      <c r="B28" s="16" t="s">
        <v>31</v>
      </c>
      <c r="C28" s="13" t="s">
        <v>9</v>
      </c>
      <c r="D28" s="17">
        <f>D27*0.01</f>
        <v>60.2</v>
      </c>
      <c r="E28" s="18">
        <v>623003</v>
      </c>
      <c r="F28" s="15" t="s">
        <v>10</v>
      </c>
      <c r="G28" s="11"/>
    </row>
    <row r="29" spans="1:7" ht="16.5" x14ac:dyDescent="0.3">
      <c r="A29" s="11">
        <v>4510</v>
      </c>
      <c r="B29" s="16" t="s">
        <v>32</v>
      </c>
      <c r="C29" s="17">
        <v>449</v>
      </c>
      <c r="D29" s="17">
        <v>10000</v>
      </c>
      <c r="E29" s="18">
        <v>623003</v>
      </c>
      <c r="F29" s="15" t="s">
        <v>10</v>
      </c>
      <c r="G29" s="11"/>
    </row>
    <row r="30" spans="1:7" ht="16.5" x14ac:dyDescent="0.3">
      <c r="A30" s="36" t="s">
        <v>33</v>
      </c>
      <c r="B30" s="16" t="s">
        <v>34</v>
      </c>
      <c r="C30" s="17">
        <v>11000</v>
      </c>
      <c r="D30" s="17">
        <v>6000</v>
      </c>
      <c r="E30" s="18">
        <v>623003</v>
      </c>
      <c r="F30" s="15" t="s">
        <v>10</v>
      </c>
      <c r="G30" s="11"/>
    </row>
    <row r="31" spans="1:7" ht="16.5" x14ac:dyDescent="0.3">
      <c r="A31" s="11">
        <v>5840</v>
      </c>
      <c r="B31" s="16" t="s">
        <v>35</v>
      </c>
      <c r="C31" s="17">
        <v>22402</v>
      </c>
      <c r="D31" s="17">
        <v>37598</v>
      </c>
      <c r="E31" s="18">
        <v>623003</v>
      </c>
      <c r="F31" s="15" t="s">
        <v>10</v>
      </c>
      <c r="G31" s="11"/>
    </row>
    <row r="32" spans="1:7" ht="16.5" x14ac:dyDescent="0.3">
      <c r="A32" s="11">
        <v>5690</v>
      </c>
      <c r="B32" s="16" t="s">
        <v>36</v>
      </c>
      <c r="C32" s="17">
        <v>20000</v>
      </c>
      <c r="D32" s="13" t="s">
        <v>9</v>
      </c>
      <c r="E32" s="18">
        <v>623003</v>
      </c>
      <c r="F32" s="15" t="s">
        <v>37</v>
      </c>
      <c r="G32" s="11"/>
    </row>
    <row r="33" spans="1:7" ht="16.5" x14ac:dyDescent="0.3">
      <c r="A33" s="11">
        <v>5130</v>
      </c>
      <c r="B33" s="16" t="s">
        <v>38</v>
      </c>
      <c r="C33" s="13" t="s">
        <v>9</v>
      </c>
      <c r="D33" s="17">
        <v>18200</v>
      </c>
      <c r="E33" s="18">
        <v>623003</v>
      </c>
      <c r="F33" s="15" t="s">
        <v>37</v>
      </c>
      <c r="G33" s="11"/>
    </row>
    <row r="34" spans="1:7" ht="16.5" x14ac:dyDescent="0.3">
      <c r="A34" s="11"/>
      <c r="B34" s="22" t="s">
        <v>39</v>
      </c>
      <c r="C34" s="23"/>
      <c r="D34" s="37"/>
      <c r="E34" s="22">
        <v>122500</v>
      </c>
      <c r="F34" s="38"/>
      <c r="G34" s="25"/>
    </row>
    <row r="35" spans="1:7" ht="16.5" x14ac:dyDescent="0.3">
      <c r="A35" s="36" t="s">
        <v>22</v>
      </c>
      <c r="B35" s="16" t="s">
        <v>40</v>
      </c>
      <c r="C35" s="17">
        <f>90000-D35</f>
        <v>24600</v>
      </c>
      <c r="D35" s="17">
        <v>65400</v>
      </c>
      <c r="E35" s="11">
        <v>122500</v>
      </c>
      <c r="F35" s="15" t="s">
        <v>10</v>
      </c>
      <c r="G35" s="11"/>
    </row>
    <row r="36" spans="1:7" ht="16.5" x14ac:dyDescent="0.3">
      <c r="A36" s="11">
        <v>5630</v>
      </c>
      <c r="B36" s="16" t="s">
        <v>41</v>
      </c>
      <c r="C36" s="17">
        <v>36705</v>
      </c>
      <c r="D36" s="13" t="s">
        <v>9</v>
      </c>
      <c r="E36" s="11">
        <v>122500</v>
      </c>
      <c r="F36" s="15" t="s">
        <v>14</v>
      </c>
      <c r="G36" s="11"/>
    </row>
    <row r="37" spans="1:7" ht="16.5" x14ac:dyDescent="0.3">
      <c r="A37" s="11">
        <v>5621</v>
      </c>
      <c r="B37" s="16" t="s">
        <v>42</v>
      </c>
      <c r="C37" s="17">
        <v>3000</v>
      </c>
      <c r="D37" s="13" t="s">
        <v>9</v>
      </c>
      <c r="E37" s="11">
        <v>122500</v>
      </c>
      <c r="F37" s="15" t="s">
        <v>14</v>
      </c>
      <c r="G37" s="11"/>
    </row>
    <row r="38" spans="1:7" ht="16.5" x14ac:dyDescent="0.3">
      <c r="A38" s="11"/>
      <c r="B38" s="22" t="s">
        <v>43</v>
      </c>
      <c r="C38" s="23"/>
      <c r="D38" s="39"/>
      <c r="E38" s="40" t="s">
        <v>44</v>
      </c>
      <c r="F38" s="24"/>
      <c r="G38" s="25"/>
    </row>
    <row r="39" spans="1:7" ht="16.5" x14ac:dyDescent="0.3">
      <c r="A39" s="11">
        <v>6450</v>
      </c>
      <c r="B39" s="16" t="s">
        <v>45</v>
      </c>
      <c r="C39" s="17">
        <f>(3*2500)*1.09</f>
        <v>8175.0000000000009</v>
      </c>
      <c r="D39" s="13" t="s">
        <v>9</v>
      </c>
      <c r="E39" s="41" t="s">
        <v>44</v>
      </c>
      <c r="F39" s="15" t="s">
        <v>10</v>
      </c>
      <c r="G39" s="11"/>
    </row>
    <row r="40" spans="1:7" ht="16.5" x14ac:dyDescent="0.3">
      <c r="A40" s="11">
        <v>6450</v>
      </c>
      <c r="B40" s="16" t="s">
        <v>46</v>
      </c>
      <c r="C40" s="17">
        <f>(300)*1.09</f>
        <v>327</v>
      </c>
      <c r="D40" s="13" t="s">
        <v>9</v>
      </c>
      <c r="E40" s="41" t="s">
        <v>44</v>
      </c>
      <c r="F40" s="15" t="s">
        <v>10</v>
      </c>
      <c r="G40" s="11"/>
    </row>
    <row r="41" spans="1:7" ht="16.5" x14ac:dyDescent="0.3">
      <c r="A41" s="11">
        <v>6450</v>
      </c>
      <c r="B41" s="16" t="s">
        <v>47</v>
      </c>
      <c r="C41" s="17">
        <f>(20*349)*1.09</f>
        <v>7608.2000000000007</v>
      </c>
      <c r="D41" s="13" t="s">
        <v>9</v>
      </c>
      <c r="E41" s="41" t="s">
        <v>44</v>
      </c>
      <c r="F41" s="15" t="s">
        <v>10</v>
      </c>
      <c r="G41" s="11"/>
    </row>
    <row r="42" spans="1:7" ht="16.5" x14ac:dyDescent="0.3">
      <c r="A42" s="11">
        <v>6450</v>
      </c>
      <c r="B42" s="16" t="s">
        <v>48</v>
      </c>
      <c r="C42" s="17">
        <f>(10*65)*1.09</f>
        <v>708.5</v>
      </c>
      <c r="D42" s="13" t="s">
        <v>9</v>
      </c>
      <c r="E42" s="41" t="s">
        <v>44</v>
      </c>
      <c r="F42" s="15" t="s">
        <v>10</v>
      </c>
      <c r="G42" s="11"/>
    </row>
    <row r="43" spans="1:7" ht="16.5" x14ac:dyDescent="0.3">
      <c r="A43" s="11">
        <v>5690</v>
      </c>
      <c r="B43" s="16" t="s">
        <v>49</v>
      </c>
      <c r="C43" s="17">
        <v>30000</v>
      </c>
      <c r="D43" s="13" t="s">
        <v>9</v>
      </c>
      <c r="E43" s="41" t="s">
        <v>44</v>
      </c>
      <c r="F43" s="15" t="s">
        <v>10</v>
      </c>
      <c r="G43" s="11"/>
    </row>
    <row r="44" spans="1:7" ht="16.5" x14ac:dyDescent="0.3">
      <c r="A44" s="11"/>
      <c r="B44" s="22" t="s">
        <v>50</v>
      </c>
      <c r="C44" s="23"/>
      <c r="D44" s="42"/>
      <c r="E44" s="40" t="s">
        <v>44</v>
      </c>
      <c r="F44" s="24"/>
      <c r="G44" s="25"/>
    </row>
    <row r="45" spans="1:7" ht="16.5" x14ac:dyDescent="0.3">
      <c r="A45" s="11">
        <v>1495</v>
      </c>
      <c r="B45" s="16" t="s">
        <v>51</v>
      </c>
      <c r="C45" s="17">
        <f>(250*66.25)*1.02</f>
        <v>16893.75</v>
      </c>
      <c r="D45" s="13" t="s">
        <v>9</v>
      </c>
      <c r="E45" s="41" t="s">
        <v>44</v>
      </c>
      <c r="F45" s="15" t="s">
        <v>37</v>
      </c>
      <c r="G45" s="11"/>
    </row>
    <row r="46" spans="1:7" ht="16.5" x14ac:dyDescent="0.3">
      <c r="A46" s="11">
        <v>3802</v>
      </c>
      <c r="B46" s="16" t="s">
        <v>82</v>
      </c>
      <c r="C46" s="17">
        <f>C45*0.1425</f>
        <v>2407.359375</v>
      </c>
      <c r="D46" s="13" t="s">
        <v>9</v>
      </c>
      <c r="E46" s="41" t="s">
        <v>44</v>
      </c>
      <c r="F46" s="15" t="s">
        <v>37</v>
      </c>
      <c r="G46" s="11"/>
    </row>
    <row r="47" spans="1:7" ht="16.5" x14ac:dyDescent="0.3">
      <c r="A47" s="11"/>
      <c r="B47" s="22" t="s">
        <v>52</v>
      </c>
      <c r="C47" s="23"/>
      <c r="D47" s="42"/>
      <c r="E47" s="22">
        <v>130300</v>
      </c>
      <c r="F47" s="24"/>
      <c r="G47" s="25"/>
    </row>
    <row r="48" spans="1:7" ht="16.5" x14ac:dyDescent="0.3">
      <c r="A48" s="11">
        <v>6450</v>
      </c>
      <c r="B48" s="16" t="s">
        <v>53</v>
      </c>
      <c r="C48" s="17">
        <f>999*2*1.09+200</f>
        <v>2377.8200000000002</v>
      </c>
      <c r="D48" s="13" t="s">
        <v>9</v>
      </c>
      <c r="E48" s="11">
        <v>130300</v>
      </c>
      <c r="F48" s="15" t="s">
        <v>54</v>
      </c>
      <c r="G48" s="11"/>
    </row>
    <row r="49" spans="1:10" ht="16.5" x14ac:dyDescent="0.3">
      <c r="A49" s="11">
        <v>6450</v>
      </c>
      <c r="B49" s="16" t="s">
        <v>55</v>
      </c>
      <c r="C49" s="17">
        <f>1200*1.09+100</f>
        <v>1408</v>
      </c>
      <c r="D49" s="13" t="s">
        <v>9</v>
      </c>
      <c r="E49" s="11">
        <v>130300</v>
      </c>
      <c r="F49" s="15" t="s">
        <v>54</v>
      </c>
      <c r="G49" s="11"/>
    </row>
    <row r="50" spans="1:10" ht="16.5" x14ac:dyDescent="0.3">
      <c r="A50" s="11">
        <v>4510</v>
      </c>
      <c r="B50" s="16" t="s">
        <v>32</v>
      </c>
      <c r="C50" s="17">
        <v>3792</v>
      </c>
      <c r="D50" s="13" t="s">
        <v>9</v>
      </c>
      <c r="E50" s="11">
        <v>130300</v>
      </c>
      <c r="F50" s="15" t="s">
        <v>54</v>
      </c>
      <c r="G50" s="11"/>
    </row>
    <row r="51" spans="1:10" ht="16.5" x14ac:dyDescent="0.3">
      <c r="A51" s="11"/>
      <c r="B51" s="22" t="s">
        <v>56</v>
      </c>
      <c r="C51" s="23"/>
      <c r="D51" s="42"/>
      <c r="E51" s="40" t="s">
        <v>88</v>
      </c>
      <c r="F51" s="24"/>
      <c r="G51" s="25"/>
    </row>
    <row r="52" spans="1:10" ht="16.5" x14ac:dyDescent="0.3">
      <c r="A52" s="11">
        <v>1495</v>
      </c>
      <c r="B52" s="16" t="s">
        <v>51</v>
      </c>
      <c r="C52" s="17">
        <f>250*61.21*1.02</f>
        <v>15608.550000000001</v>
      </c>
      <c r="D52" s="65" t="s">
        <v>9</v>
      </c>
      <c r="E52" s="66" t="s">
        <v>88</v>
      </c>
      <c r="F52" s="15" t="s">
        <v>10</v>
      </c>
      <c r="G52" s="11"/>
    </row>
    <row r="53" spans="1:10" ht="16.5" x14ac:dyDescent="0.3">
      <c r="A53" s="11">
        <v>3802</v>
      </c>
      <c r="B53" s="16" t="s">
        <v>82</v>
      </c>
      <c r="C53" s="17">
        <f>C52*0.1425</f>
        <v>2224.2183749999999</v>
      </c>
      <c r="D53" s="65" t="s">
        <v>9</v>
      </c>
      <c r="E53" s="67" t="s">
        <v>88</v>
      </c>
      <c r="F53" s="15" t="s">
        <v>10</v>
      </c>
      <c r="G53" s="11"/>
    </row>
    <row r="54" spans="1:10" ht="16.5" x14ac:dyDescent="0.3">
      <c r="A54" s="11"/>
      <c r="B54" s="22" t="s">
        <v>57</v>
      </c>
      <c r="C54" s="23"/>
      <c r="D54" s="42"/>
      <c r="E54" s="40" t="s">
        <v>88</v>
      </c>
      <c r="F54" s="24"/>
      <c r="G54" s="25"/>
    </row>
    <row r="55" spans="1:10" ht="16.5" x14ac:dyDescent="0.3">
      <c r="A55" s="36" t="s">
        <v>22</v>
      </c>
      <c r="B55" s="16" t="s">
        <v>58</v>
      </c>
      <c r="C55" s="17">
        <f>(40*1913)*1.09</f>
        <v>83406.8</v>
      </c>
      <c r="D55" s="65" t="s">
        <v>9</v>
      </c>
      <c r="E55" s="66" t="s">
        <v>88</v>
      </c>
      <c r="F55" s="15" t="s">
        <v>10</v>
      </c>
      <c r="G55" s="11"/>
    </row>
    <row r="56" spans="1:10" ht="16.5" x14ac:dyDescent="0.3">
      <c r="A56" s="36" t="s">
        <v>22</v>
      </c>
      <c r="B56" s="16" t="s">
        <v>59</v>
      </c>
      <c r="C56" s="17">
        <f>5*1500*1.09</f>
        <v>8175.0000000000009</v>
      </c>
      <c r="D56" s="65"/>
      <c r="E56" s="34" t="s">
        <v>88</v>
      </c>
      <c r="F56" s="15" t="s">
        <v>10</v>
      </c>
      <c r="G56" s="11"/>
    </row>
    <row r="57" spans="1:10" ht="16.5" x14ac:dyDescent="0.3">
      <c r="A57" s="36">
        <v>5690</v>
      </c>
      <c r="B57" s="16" t="s">
        <v>60</v>
      </c>
      <c r="C57" s="13" t="s">
        <v>9</v>
      </c>
      <c r="D57" s="47">
        <v>5000</v>
      </c>
      <c r="E57" s="34" t="s">
        <v>88</v>
      </c>
      <c r="F57" s="15" t="s">
        <v>10</v>
      </c>
      <c r="G57" s="11"/>
    </row>
    <row r="58" spans="1:10" ht="16.5" x14ac:dyDescent="0.3">
      <c r="A58" s="36">
        <v>6450</v>
      </c>
      <c r="B58" s="16" t="s">
        <v>61</v>
      </c>
      <c r="C58" s="17">
        <f>(11299.6)*1.09</f>
        <v>12316.564000000002</v>
      </c>
      <c r="D58" s="65" t="s">
        <v>9</v>
      </c>
      <c r="E58" s="34" t="s">
        <v>88</v>
      </c>
      <c r="F58" s="15" t="s">
        <v>10</v>
      </c>
      <c r="G58" s="11"/>
    </row>
    <row r="59" spans="1:10" ht="16.5" x14ac:dyDescent="0.3">
      <c r="A59" s="36">
        <v>6450</v>
      </c>
      <c r="B59" s="16" t="s">
        <v>62</v>
      </c>
      <c r="C59" s="17">
        <v>4431</v>
      </c>
      <c r="D59" s="65" t="s">
        <v>9</v>
      </c>
      <c r="E59" s="34" t="s">
        <v>88</v>
      </c>
      <c r="F59" s="15" t="s">
        <v>10</v>
      </c>
      <c r="G59" s="11"/>
    </row>
    <row r="60" spans="1:10" ht="16.5" x14ac:dyDescent="0.3">
      <c r="A60" s="36">
        <v>6450</v>
      </c>
      <c r="B60" s="16" t="s">
        <v>63</v>
      </c>
      <c r="C60" s="17">
        <v>7614.48</v>
      </c>
      <c r="D60" s="65" t="s">
        <v>9</v>
      </c>
      <c r="E60" s="67" t="s">
        <v>88</v>
      </c>
      <c r="F60" s="15" t="s">
        <v>10</v>
      </c>
      <c r="G60" s="11"/>
    </row>
    <row r="61" spans="1:10" ht="16.5" x14ac:dyDescent="0.3">
      <c r="A61" s="36"/>
      <c r="B61" s="35" t="s">
        <v>64</v>
      </c>
      <c r="C61" s="23"/>
      <c r="D61" s="42"/>
      <c r="E61" s="40" t="s">
        <v>65</v>
      </c>
      <c r="F61" s="24"/>
      <c r="G61" s="25"/>
    </row>
    <row r="62" spans="1:10" ht="16.5" x14ac:dyDescent="0.3">
      <c r="A62" s="43">
        <v>1310</v>
      </c>
      <c r="B62" s="44" t="s">
        <v>85</v>
      </c>
      <c r="C62" s="45">
        <f>54*3*106.59*1.02</f>
        <v>17612.931600000004</v>
      </c>
      <c r="D62" s="14" t="s">
        <v>9</v>
      </c>
      <c r="E62" s="41" t="s">
        <v>65</v>
      </c>
      <c r="F62" s="15" t="s">
        <v>37</v>
      </c>
      <c r="G62" s="46"/>
      <c r="H62" s="47"/>
      <c r="I62" s="48"/>
      <c r="J62" s="48"/>
    </row>
    <row r="63" spans="1:10" ht="16.5" x14ac:dyDescent="0.3">
      <c r="A63" s="43">
        <v>1390</v>
      </c>
      <c r="B63" s="44" t="s">
        <v>86</v>
      </c>
      <c r="C63" s="45">
        <f>(17.5+5.83)*67.74*3*1.02</f>
        <v>4835.9450519999991</v>
      </c>
      <c r="D63" s="14" t="s">
        <v>9</v>
      </c>
      <c r="E63" s="41" t="s">
        <v>65</v>
      </c>
      <c r="F63" s="15" t="s">
        <v>37</v>
      </c>
      <c r="G63" s="46"/>
      <c r="H63" s="47"/>
      <c r="I63" s="48"/>
      <c r="J63" s="48"/>
    </row>
    <row r="64" spans="1:10" ht="16.5" x14ac:dyDescent="0.3">
      <c r="A64" s="43">
        <v>1495</v>
      </c>
      <c r="B64" s="44" t="s">
        <v>66</v>
      </c>
      <c r="C64" s="45">
        <f>40*66.25*1.02</f>
        <v>2703</v>
      </c>
      <c r="D64" s="14" t="s">
        <v>9</v>
      </c>
      <c r="E64" s="41" t="s">
        <v>65</v>
      </c>
      <c r="F64" s="15" t="s">
        <v>37</v>
      </c>
      <c r="G64" s="46"/>
      <c r="H64" s="47"/>
      <c r="I64" s="48"/>
      <c r="J64" s="48"/>
    </row>
    <row r="65" spans="1:10" ht="16.5" x14ac:dyDescent="0.3">
      <c r="A65" s="43">
        <v>3802</v>
      </c>
      <c r="B65" s="44" t="s">
        <v>82</v>
      </c>
      <c r="C65" s="45">
        <f>(C62+C63+C64)*0.1425</f>
        <v>3584.1424229100003</v>
      </c>
      <c r="D65" s="14" t="s">
        <v>9</v>
      </c>
      <c r="E65" s="41" t="s">
        <v>65</v>
      </c>
      <c r="F65" s="15" t="s">
        <v>37</v>
      </c>
      <c r="G65" s="46"/>
      <c r="H65" s="47"/>
      <c r="I65" s="48"/>
      <c r="J65" s="48"/>
    </row>
    <row r="66" spans="1:10" ht="16.5" x14ac:dyDescent="0.3">
      <c r="A66" s="43">
        <v>6450</v>
      </c>
      <c r="B66" s="44" t="s">
        <v>67</v>
      </c>
      <c r="C66" s="45">
        <f>3*6000*1.09</f>
        <v>19620</v>
      </c>
      <c r="D66" s="14" t="s">
        <v>9</v>
      </c>
      <c r="E66" s="41" t="s">
        <v>65</v>
      </c>
      <c r="F66" s="15" t="s">
        <v>37</v>
      </c>
      <c r="G66" s="46"/>
      <c r="H66" s="47"/>
      <c r="I66" s="48"/>
      <c r="J66" s="48"/>
    </row>
    <row r="67" spans="1:10" ht="16.5" x14ac:dyDescent="0.3">
      <c r="A67" s="11"/>
      <c r="B67" s="35" t="s">
        <v>68</v>
      </c>
      <c r="C67" s="23"/>
      <c r="D67" s="42"/>
      <c r="E67" s="40" t="s">
        <v>69</v>
      </c>
      <c r="F67" s="24"/>
      <c r="G67" s="25"/>
    </row>
    <row r="68" spans="1:10" ht="16.5" x14ac:dyDescent="0.3">
      <c r="A68" s="36" t="s">
        <v>22</v>
      </c>
      <c r="B68" s="16" t="s">
        <v>70</v>
      </c>
      <c r="C68" s="17">
        <v>30000</v>
      </c>
      <c r="D68" s="13" t="s">
        <v>9</v>
      </c>
      <c r="E68" s="41" t="s">
        <v>69</v>
      </c>
      <c r="F68" s="15" t="s">
        <v>54</v>
      </c>
      <c r="G68" s="11"/>
    </row>
    <row r="69" spans="1:10" ht="16.5" x14ac:dyDescent="0.3">
      <c r="A69" s="11">
        <v>1495</v>
      </c>
      <c r="B69" s="16" t="s">
        <v>71</v>
      </c>
      <c r="C69" s="17">
        <f>150*66.25*1.035</f>
        <v>10285.3125</v>
      </c>
      <c r="D69" s="13" t="s">
        <v>9</v>
      </c>
      <c r="E69" s="41" t="s">
        <v>69</v>
      </c>
      <c r="F69" s="15" t="s">
        <v>54</v>
      </c>
      <c r="G69" s="11"/>
    </row>
    <row r="70" spans="1:10" ht="16.5" x14ac:dyDescent="0.3">
      <c r="A70" s="11">
        <v>3802</v>
      </c>
      <c r="B70" s="16" t="s">
        <v>82</v>
      </c>
      <c r="C70" s="17">
        <f>C69*0.1425</f>
        <v>1465.6570312499998</v>
      </c>
      <c r="D70" s="13" t="s">
        <v>9</v>
      </c>
      <c r="E70" s="41" t="s">
        <v>69</v>
      </c>
      <c r="F70" s="15" t="s">
        <v>54</v>
      </c>
      <c r="G70" s="11"/>
    </row>
    <row r="71" spans="1:10" ht="16.5" x14ac:dyDescent="0.3">
      <c r="A71" s="11"/>
      <c r="B71" s="22" t="s">
        <v>87</v>
      </c>
      <c r="C71" s="23"/>
      <c r="D71" s="23"/>
      <c r="E71" s="40" t="s">
        <v>74</v>
      </c>
      <c r="F71" s="38"/>
      <c r="G71" s="25"/>
    </row>
    <row r="72" spans="1:10" ht="16.5" x14ac:dyDescent="0.3">
      <c r="A72" s="11">
        <v>1495</v>
      </c>
      <c r="B72" s="16" t="s">
        <v>72</v>
      </c>
      <c r="C72" s="13" t="s">
        <v>9</v>
      </c>
      <c r="D72" s="17">
        <f>342*64.95*1.02</f>
        <v>22657.158000000003</v>
      </c>
      <c r="E72" s="41" t="s">
        <v>74</v>
      </c>
      <c r="F72" s="15" t="s">
        <v>10</v>
      </c>
      <c r="G72" s="18"/>
    </row>
    <row r="73" spans="1:10" ht="16.5" x14ac:dyDescent="0.3">
      <c r="A73" s="11">
        <v>3802</v>
      </c>
      <c r="B73" s="16" t="s">
        <v>82</v>
      </c>
      <c r="C73" s="13" t="s">
        <v>9</v>
      </c>
      <c r="D73" s="17">
        <f>D72*0.1425</f>
        <v>3228.6450150000001</v>
      </c>
      <c r="E73" s="41" t="s">
        <v>74</v>
      </c>
      <c r="F73" s="15" t="s">
        <v>10</v>
      </c>
      <c r="G73" s="18"/>
    </row>
    <row r="74" spans="1:10" ht="16.5" x14ac:dyDescent="0.3">
      <c r="A74" s="11">
        <v>5690</v>
      </c>
      <c r="B74" s="26" t="s">
        <v>73</v>
      </c>
      <c r="C74" s="50">
        <v>20000</v>
      </c>
      <c r="D74" s="50">
        <v>30000</v>
      </c>
      <c r="E74" s="64" t="s">
        <v>74</v>
      </c>
      <c r="F74" s="29" t="s">
        <v>10</v>
      </c>
      <c r="G74" s="49"/>
    </row>
    <row r="75" spans="1:10" ht="16.5" x14ac:dyDescent="0.3">
      <c r="A75" s="51"/>
      <c r="B75" s="52" t="s">
        <v>75</v>
      </c>
      <c r="C75" s="53">
        <f>SUM(C2:C74)</f>
        <v>645433.00394615985</v>
      </c>
      <c r="D75" s="54">
        <f>SUM(D2:D74)</f>
        <v>369180.31291799998</v>
      </c>
      <c r="E75" s="51"/>
    </row>
    <row r="76" spans="1:10" ht="17.25" thickBot="1" x14ac:dyDescent="0.35">
      <c r="A76" s="51"/>
      <c r="B76" s="52" t="s">
        <v>76</v>
      </c>
      <c r="C76" s="55">
        <f>C75*0.04</f>
        <v>25817.320157846396</v>
      </c>
      <c r="D76" s="56" t="s">
        <v>77</v>
      </c>
      <c r="E76" s="51"/>
    </row>
    <row r="77" spans="1:10" ht="17.25" thickTop="1" x14ac:dyDescent="0.3">
      <c r="A77" s="51"/>
      <c r="B77" s="57" t="s">
        <v>78</v>
      </c>
      <c r="C77" s="58">
        <f>SUM(C75:C76)</f>
        <v>671250.32410400629</v>
      </c>
      <c r="D77" s="59">
        <f>D75</f>
        <v>369180.31291799998</v>
      </c>
      <c r="E77" s="60">
        <f>C77-671250</f>
        <v>0.32410400628577918</v>
      </c>
      <c r="F77" s="60">
        <f>D77-369180</f>
        <v>0.31291799998143688</v>
      </c>
    </row>
    <row r="78" spans="1:10" x14ac:dyDescent="0.25">
      <c r="A78" s="51"/>
      <c r="B78" s="51"/>
      <c r="C78" s="61"/>
      <c r="D78" s="61"/>
      <c r="E78" s="51"/>
    </row>
    <row r="79" spans="1:10" x14ac:dyDescent="0.25">
      <c r="A79" s="51"/>
      <c r="B79" s="51"/>
      <c r="D79" s="61"/>
      <c r="E79" s="5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Kramer, Alexander</dc:creator>
  <cp:lastModifiedBy>Kramer, Alexander</cp:lastModifiedBy>
  <dcterms:created xsi:type="dcterms:W3CDTF">2018-05-30T22:39:14Z</dcterms:created>
  <dcterms:modified xsi:type="dcterms:W3CDTF">2018-05-31T21:00:43Z</dcterms:modified>
</cp:coreProperties>
</file>